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참조1" sheetId="9" r:id="rId1"/>
    <sheet name="참조2" sheetId="8" r:id="rId2"/>
    <sheet name="참조3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F3" i="9"/>
  <c r="G3" i="9"/>
  <c r="D4" i="9"/>
  <c r="F4" i="9"/>
  <c r="G4" i="9"/>
  <c r="D5" i="9"/>
  <c r="F5" i="9"/>
  <c r="G5" i="9"/>
  <c r="D6" i="9"/>
  <c r="F6" i="9"/>
  <c r="G6" i="9"/>
  <c r="D7" i="9"/>
  <c r="F7" i="9"/>
  <c r="G7" i="9"/>
  <c r="D8" i="9"/>
  <c r="F8" i="9"/>
  <c r="G8" i="9"/>
  <c r="D9" i="9"/>
  <c r="F9" i="9"/>
  <c r="G9" i="9"/>
  <c r="D10" i="9"/>
  <c r="F10" i="9"/>
  <c r="G10" i="9"/>
  <c r="D11" i="9"/>
  <c r="F11" i="9"/>
  <c r="G11" i="9"/>
  <c r="C16" i="9"/>
  <c r="E16" i="9"/>
  <c r="G16" i="9"/>
  <c r="C17" i="9"/>
  <c r="E17" i="9"/>
  <c r="G17" i="9"/>
  <c r="C18" i="9"/>
  <c r="E18" i="9"/>
  <c r="G18" i="9"/>
  <c r="C19" i="9"/>
  <c r="E19" i="9"/>
  <c r="G19" i="9"/>
  <c r="C20" i="9"/>
  <c r="E20" i="9"/>
  <c r="G20" i="9"/>
  <c r="C21" i="9"/>
  <c r="E21" i="9"/>
  <c r="G21" i="9"/>
  <c r="C22" i="9"/>
  <c r="E22" i="9"/>
  <c r="G22" i="9"/>
  <c r="C23" i="9"/>
  <c r="E23" i="9"/>
  <c r="G23" i="9"/>
  <c r="C24" i="9"/>
  <c r="E24" i="9"/>
  <c r="G24" i="9"/>
  <c r="V4" i="10" l="1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3" i="10"/>
  <c r="F3" i="10"/>
  <c r="F4" i="10"/>
  <c r="F5" i="10"/>
  <c r="F6" i="10"/>
  <c r="F7" i="10"/>
  <c r="F8" i="10"/>
  <c r="F9" i="10"/>
  <c r="F10" i="10"/>
  <c r="F11" i="10"/>
  <c r="F12" i="10"/>
  <c r="F13" i="10"/>
  <c r="E4" i="10" l="1"/>
  <c r="E5" i="10"/>
  <c r="E6" i="10"/>
  <c r="E7" i="10"/>
  <c r="E8" i="10"/>
  <c r="E9" i="10"/>
  <c r="E10" i="10"/>
  <c r="E11" i="10"/>
  <c r="E12" i="10"/>
  <c r="E13" i="10"/>
  <c r="E3" i="10"/>
  <c r="O8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3" i="10"/>
  <c r="O4" i="8"/>
  <c r="O5" i="8"/>
  <c r="O6" i="8"/>
  <c r="O7" i="8"/>
  <c r="O8" i="8"/>
  <c r="O9" i="8"/>
  <c r="O10" i="8"/>
  <c r="O3" i="8"/>
  <c r="N4" i="8"/>
  <c r="N5" i="8"/>
  <c r="N6" i="8"/>
  <c r="N7" i="8"/>
  <c r="N8" i="8"/>
  <c r="N9" i="8"/>
  <c r="N10" i="8"/>
  <c r="N3" i="8"/>
  <c r="I4" i="8"/>
  <c r="I5" i="8"/>
  <c r="I6" i="8"/>
  <c r="I7" i="8"/>
  <c r="I8" i="8"/>
  <c r="I9" i="8"/>
  <c r="I10" i="8"/>
  <c r="I3" i="8"/>
  <c r="E4" i="8"/>
  <c r="E5" i="8"/>
  <c r="E6" i="8"/>
  <c r="E7" i="8"/>
  <c r="E8" i="8"/>
  <c r="E9" i="8"/>
  <c r="E10" i="8"/>
  <c r="E3" i="8"/>
  <c r="D4" i="8"/>
  <c r="D5" i="8"/>
  <c r="D6" i="8"/>
  <c r="D7" i="8"/>
  <c r="D8" i="8"/>
  <c r="D9" i="8"/>
  <c r="D10" i="8"/>
  <c r="D3" i="8"/>
  <c r="O4" i="10" l="1"/>
</calcChain>
</file>

<file path=xl/sharedStrings.xml><?xml version="1.0" encoding="utf-8"?>
<sst xmlns="http://schemas.openxmlformats.org/spreadsheetml/2006/main" count="304" uniqueCount="238">
  <si>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</si>
  <si>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</si>
  <si>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</si>
  <si>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</si>
  <si>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</si>
  <si>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</si>
  <si>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</si>
  <si>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</si>
  <si>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</si>
  <si>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</si>
  <si>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</si>
  <si>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</si>
  <si>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</si>
  <si>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</si>
  <si>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</si>
  <si>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민병철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</si>
  <si>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</si>
  <si>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</si>
  <si>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</si>
  <si>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부산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</si>
  <si>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</si>
  <si>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</si>
  <si>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</si>
  <si>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박강성</t>
    <phoneticPr fontId="2" type="noConversion"/>
  </si>
  <si>
    <t>코드</t>
    <phoneticPr fontId="2" type="noConversion"/>
  </si>
  <si>
    <t>대진유통</t>
    <phoneticPr fontId="5" type="noConversion"/>
  </si>
  <si>
    <t>상진무역</t>
    <phoneticPr fontId="2" type="noConversion"/>
  </si>
  <si>
    <t>미진상사</t>
    <phoneticPr fontId="5" type="noConversion"/>
  </si>
  <si>
    <t>나라상사</t>
    <phoneticPr fontId="5" type="noConversion"/>
  </si>
  <si>
    <t>S-102-Y</t>
    <phoneticPr fontId="2" type="noConversion"/>
  </si>
  <si>
    <t>P-246-N</t>
    <phoneticPr fontId="2" type="noConversion"/>
  </si>
  <si>
    <t>사원명</t>
    <phoneticPr fontId="2" type="noConversion"/>
  </si>
  <si>
    <t>한정엽</t>
    <phoneticPr fontId="5" type="noConversion"/>
  </si>
  <si>
    <t>[표1]</t>
    <phoneticPr fontId="2" type="noConversion"/>
  </si>
  <si>
    <t>회원ID</t>
    <phoneticPr fontId="5" type="noConversion"/>
  </si>
  <si>
    <t>코드번호</t>
    <phoneticPr fontId="2" type="noConversion"/>
  </si>
  <si>
    <t>[표3]</t>
    <phoneticPr fontId="2" type="noConversion"/>
  </si>
  <si>
    <t>회원 정보</t>
    <phoneticPr fontId="2" type="noConversion"/>
  </si>
  <si>
    <t>[표4]</t>
    <phoneticPr fontId="2" type="noConversion"/>
  </si>
  <si>
    <t>주민번호</t>
    <phoneticPr fontId="2" type="noConversion"/>
  </si>
  <si>
    <t>고객명</t>
    <phoneticPr fontId="2" type="noConversion"/>
  </si>
  <si>
    <t>한정은</t>
    <phoneticPr fontId="5" type="noConversion"/>
  </si>
  <si>
    <t>김영희</t>
    <phoneticPr fontId="5" type="noConversion"/>
  </si>
  <si>
    <t>등급</t>
    <phoneticPr fontId="2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</si>
  <si>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</si>
  <si>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</si>
  <si>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</si>
  <si>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적립률</t>
    <phoneticPr fontId="2" type="noConversion"/>
  </si>
  <si>
    <t>결제금액</t>
    <phoneticPr fontId="5" type="noConversion"/>
  </si>
  <si>
    <t>S-102</t>
    <phoneticPr fontId="2" type="noConversion"/>
  </si>
  <si>
    <t>J-544</t>
  </si>
  <si>
    <t>P-911</t>
  </si>
  <si>
    <t>J-531</t>
  </si>
  <si>
    <t>J-581</t>
    <phoneticPr fontId="2" type="noConversion"/>
  </si>
  <si>
    <t>P-24</t>
    <phoneticPr fontId="2" type="noConversion"/>
  </si>
  <si>
    <t>S-622</t>
    <phoneticPr fontId="2" type="noConversion"/>
  </si>
  <si>
    <t>S-423</t>
    <phoneticPr fontId="2" type="noConversion"/>
  </si>
  <si>
    <t>P-773</t>
    <phoneticPr fontId="2" type="noConversion"/>
  </si>
  <si>
    <t>등급</t>
    <phoneticPr fontId="5" type="noConversion"/>
  </si>
  <si>
    <t>회원명</t>
    <phoneticPr fontId="2" type="noConversion"/>
  </si>
  <si>
    <t>가입일</t>
    <phoneticPr fontId="2" type="noConversion"/>
  </si>
  <si>
    <t>월요일</t>
    <phoneticPr fontId="2" type="noConversion"/>
  </si>
  <si>
    <t>화요일</t>
  </si>
  <si>
    <t>수요일</t>
  </si>
  <si>
    <t>목요일</t>
  </si>
  <si>
    <t>금요일</t>
  </si>
  <si>
    <t>토요일</t>
  </si>
  <si>
    <t>일요일</t>
  </si>
  <si>
    <t>회원코드</t>
    <phoneticPr fontId="2" type="noConversion"/>
  </si>
  <si>
    <t>거래처</t>
    <phoneticPr fontId="5" type="noConversion"/>
  </si>
  <si>
    <t>S</t>
  </si>
  <si>
    <t>D</t>
  </si>
  <si>
    <t>D</t>
    <phoneticPr fontId="2" type="noConversion"/>
  </si>
  <si>
    <t>H</t>
  </si>
  <si>
    <t>H</t>
    <phoneticPr fontId="2" type="noConversion"/>
  </si>
  <si>
    <t>R</t>
  </si>
  <si>
    <t>R</t>
    <phoneticPr fontId="2" type="noConversion"/>
  </si>
  <si>
    <t>구분</t>
    <phoneticPr fontId="2" type="noConversion"/>
  </si>
  <si>
    <t>FB</t>
    <phoneticPr fontId="2" type="noConversion"/>
  </si>
  <si>
    <t>CW</t>
    <phoneticPr fontId="2" type="noConversion"/>
  </si>
  <si>
    <t>LE</t>
    <phoneticPr fontId="2" type="noConversion"/>
  </si>
  <si>
    <t>EC</t>
    <phoneticPr fontId="2" type="noConversion"/>
  </si>
  <si>
    <t>FB</t>
    <phoneticPr fontId="5" type="noConversion"/>
  </si>
  <si>
    <t>LE</t>
    <phoneticPr fontId="5" type="noConversion"/>
  </si>
  <si>
    <t>식음료</t>
    <phoneticPr fontId="2" type="noConversion"/>
  </si>
  <si>
    <t>생활잡화</t>
    <phoneticPr fontId="2" type="noConversion"/>
  </si>
  <si>
    <t>전자기기</t>
    <phoneticPr fontId="2" type="noConversion"/>
  </si>
  <si>
    <t>의류</t>
    <phoneticPr fontId="2" type="noConversion"/>
  </si>
  <si>
    <t>EC</t>
    <phoneticPr fontId="2" type="noConversion"/>
  </si>
  <si>
    <t>CW</t>
    <phoneticPr fontId="5" type="noConversion"/>
  </si>
  <si>
    <t>[표2] 적립률표</t>
    <phoneticPr fontId="2" type="noConversion"/>
  </si>
  <si>
    <t>[표3] 지역구분</t>
    <phoneticPr fontId="2" type="noConversion"/>
  </si>
  <si>
    <t>회원정보</t>
    <phoneticPr fontId="2" type="noConversion"/>
  </si>
  <si>
    <t>[표5] 거래정보</t>
    <phoneticPr fontId="2" type="noConversion"/>
  </si>
  <si>
    <t>[표6] 요일구분</t>
    <phoneticPr fontId="2" type="noConversion"/>
  </si>
  <si>
    <t>[표1]</t>
    <phoneticPr fontId="2" type="noConversion"/>
  </si>
  <si>
    <t>직원별 실적 조회</t>
    <phoneticPr fontId="2" type="noConversion"/>
  </si>
  <si>
    <t>직원명</t>
    <phoneticPr fontId="2" type="noConversion"/>
  </si>
  <si>
    <t>직위</t>
    <phoneticPr fontId="2" type="noConversion"/>
  </si>
  <si>
    <t>기본급</t>
    <phoneticPr fontId="2" type="noConversion"/>
  </si>
  <si>
    <t>수당률</t>
    <phoneticPr fontId="2" type="noConversion"/>
  </si>
  <si>
    <t>김형기</t>
  </si>
  <si>
    <t>부장</t>
    <phoneticPr fontId="2" type="noConversion"/>
  </si>
  <si>
    <t>김정수</t>
  </si>
  <si>
    <t>최재형</t>
  </si>
  <si>
    <t>과장</t>
    <phoneticPr fontId="2" type="noConversion"/>
  </si>
  <si>
    <t>김규옥</t>
  </si>
  <si>
    <t>대리</t>
    <phoneticPr fontId="2" type="noConversion"/>
  </si>
  <si>
    <t>대리</t>
    <phoneticPr fontId="2" type="noConversion"/>
  </si>
  <si>
    <t>이수원</t>
  </si>
  <si>
    <t>신오영</t>
  </si>
  <si>
    <t>임희정</t>
  </si>
  <si>
    <t>사원</t>
    <phoneticPr fontId="2" type="noConversion"/>
  </si>
  <si>
    <t>변현진</t>
  </si>
  <si>
    <t>사원</t>
    <phoneticPr fontId="2" type="noConversion"/>
  </si>
  <si>
    <t>대리</t>
    <phoneticPr fontId="2" type="noConversion"/>
  </si>
  <si>
    <t>과장</t>
    <phoneticPr fontId="2" type="noConversion"/>
  </si>
  <si>
    <t>부장</t>
    <phoneticPr fontId="2" type="noConversion"/>
  </si>
  <si>
    <t>기타수당</t>
    <phoneticPr fontId="2" type="noConversion"/>
  </si>
  <si>
    <t>회원ID</t>
    <phoneticPr fontId="2" type="noConversion"/>
  </si>
  <si>
    <t>J-082-N</t>
    <phoneticPr fontId="2" type="noConversion"/>
  </si>
  <si>
    <t>S-328-Y</t>
    <phoneticPr fontId="2" type="noConversion"/>
  </si>
  <si>
    <t>J-144-Y</t>
    <phoneticPr fontId="2" type="noConversion"/>
  </si>
  <si>
    <t>P-011-N</t>
    <phoneticPr fontId="2" type="noConversion"/>
  </si>
  <si>
    <t>S-226-N</t>
    <phoneticPr fontId="2" type="noConversion"/>
  </si>
  <si>
    <t>J-331-Y</t>
    <phoneticPr fontId="2" type="noConversion"/>
  </si>
  <si>
    <t>성명</t>
    <phoneticPr fontId="2" type="noConversion"/>
  </si>
  <si>
    <t>1분기</t>
    <phoneticPr fontId="2" type="noConversion"/>
  </si>
  <si>
    <t>2분기</t>
  </si>
  <si>
    <t>3분기</t>
  </si>
  <si>
    <t>4분기</t>
  </si>
  <si>
    <t>마일리지
적립구간</t>
    <phoneticPr fontId="2" type="noConversion"/>
  </si>
  <si>
    <t>이은정</t>
    <phoneticPr fontId="2" type="noConversion"/>
  </si>
  <si>
    <t>천진희</t>
    <phoneticPr fontId="2" type="noConversion"/>
  </si>
  <si>
    <t>김치명</t>
    <phoneticPr fontId="2" type="noConversion"/>
  </si>
  <si>
    <t>백도심</t>
    <phoneticPr fontId="2" type="noConversion"/>
  </si>
  <si>
    <t>방경자</t>
    <phoneticPr fontId="2" type="noConversion"/>
  </si>
  <si>
    <t>김성민</t>
    <phoneticPr fontId="2" type="noConversion"/>
  </si>
  <si>
    <t>이지희</t>
    <phoneticPr fontId="2" type="noConversion"/>
  </si>
  <si>
    <t>김락현</t>
    <phoneticPr fontId="2" type="noConversion"/>
  </si>
  <si>
    <t>한상호</t>
    <phoneticPr fontId="2" type="noConversion"/>
  </si>
  <si>
    <t>강위만</t>
    <phoneticPr fontId="2" type="noConversion"/>
  </si>
  <si>
    <t>고재윤</t>
    <phoneticPr fontId="2" type="noConversion"/>
  </si>
  <si>
    <t>이승재</t>
    <phoneticPr fontId="2" type="noConversion"/>
  </si>
  <si>
    <t>김태형</t>
    <phoneticPr fontId="2" type="noConversion"/>
  </si>
  <si>
    <t>박혜연</t>
    <phoneticPr fontId="2" type="noConversion"/>
  </si>
  <si>
    <t>김선주</t>
    <phoneticPr fontId="2" type="noConversion"/>
  </si>
  <si>
    <t>이남주</t>
    <phoneticPr fontId="2" type="noConversion"/>
  </si>
  <si>
    <t>이연한</t>
    <phoneticPr fontId="2" type="noConversion"/>
  </si>
  <si>
    <t>정연민</t>
    <phoneticPr fontId="2" type="noConversion"/>
  </si>
  <si>
    <t>직무</t>
    <phoneticPr fontId="5" type="noConversion"/>
  </si>
  <si>
    <t>근태</t>
    <phoneticPr fontId="5" type="noConversion"/>
  </si>
  <si>
    <t>성실</t>
    <phoneticPr fontId="5" type="noConversion"/>
  </si>
  <si>
    <t>총점</t>
    <phoneticPr fontId="2" type="noConversion"/>
  </si>
  <si>
    <t>사원</t>
    <phoneticPr fontId="2" type="noConversion"/>
  </si>
  <si>
    <t>차장</t>
    <phoneticPr fontId="2" type="noConversion"/>
  </si>
  <si>
    <t>과장</t>
    <phoneticPr fontId="2" type="noConversion"/>
  </si>
  <si>
    <t>과장</t>
    <phoneticPr fontId="2" type="noConversion"/>
  </si>
  <si>
    <t>차장</t>
    <phoneticPr fontId="2" type="noConversion"/>
  </si>
  <si>
    <t>대리</t>
    <phoneticPr fontId="2" type="noConversion"/>
  </si>
  <si>
    <t>사원</t>
    <phoneticPr fontId="2" type="noConversion"/>
  </si>
  <si>
    <t>부서</t>
    <phoneticPr fontId="2" type="noConversion"/>
  </si>
  <si>
    <t>경영</t>
    <phoneticPr fontId="2" type="noConversion"/>
  </si>
  <si>
    <t>경영</t>
    <phoneticPr fontId="2" type="noConversion"/>
  </si>
  <si>
    <t>총무</t>
    <phoneticPr fontId="2" type="noConversion"/>
  </si>
  <si>
    <t>전산</t>
    <phoneticPr fontId="2" type="noConversion"/>
  </si>
  <si>
    <t>전산</t>
    <phoneticPr fontId="2" type="noConversion"/>
  </si>
  <si>
    <t>홍보</t>
    <phoneticPr fontId="2" type="noConversion"/>
  </si>
  <si>
    <t>홍보</t>
    <phoneticPr fontId="2" type="noConversion"/>
  </si>
  <si>
    <t>전산</t>
    <phoneticPr fontId="2" type="noConversion"/>
  </si>
  <si>
    <t>기타</t>
    <phoneticPr fontId="2" type="noConversion"/>
  </si>
  <si>
    <t>차장</t>
    <phoneticPr fontId="2" type="noConversion"/>
  </si>
  <si>
    <t>기본급</t>
    <phoneticPr fontId="2" type="noConversion"/>
  </si>
  <si>
    <t>특별수당</t>
    <phoneticPr fontId="2" type="noConversion"/>
  </si>
  <si>
    <t>기준일 :</t>
    <phoneticPr fontId="2" type="noConversion"/>
  </si>
  <si>
    <t>제품코드</t>
    <phoneticPr fontId="2" type="noConversion"/>
  </si>
  <si>
    <t>보존기간(개월)</t>
    <phoneticPr fontId="2" type="noConversion"/>
  </si>
  <si>
    <t>950218-1</t>
  </si>
  <si>
    <t>001204-4</t>
  </si>
  <si>
    <t>820718-1</t>
  </si>
  <si>
    <t>920124-2</t>
  </si>
  <si>
    <t>840819-2</t>
  </si>
  <si>
    <t>850218-2</t>
  </si>
  <si>
    <t>820718-2</t>
  </si>
  <si>
    <t>960314-1</t>
  </si>
  <si>
    <t>860217-2</t>
  </si>
  <si>
    <t>840819-1</t>
  </si>
  <si>
    <t>할인율</t>
    <phoneticPr fontId="2" type="noConversion"/>
  </si>
  <si>
    <t>BBNB-10</t>
  </si>
  <si>
    <t>BBNB-01</t>
  </si>
  <si>
    <t>JOML-27</t>
  </si>
  <si>
    <t>JOML-24</t>
  </si>
  <si>
    <t>JOML-28</t>
  </si>
  <si>
    <t>HRMO-14</t>
  </si>
  <si>
    <t>HKDP-23</t>
  </si>
  <si>
    <t>HRMO-18</t>
  </si>
  <si>
    <t>FRJH-07</t>
  </si>
  <si>
    <t>HQPR-30</t>
  </si>
  <si>
    <t>HRMO-16</t>
  </si>
  <si>
    <t>HKDP-21</t>
  </si>
  <si>
    <t>FRJH-06</t>
  </si>
  <si>
    <t>HKDP-22</t>
  </si>
  <si>
    <t>HRMO-15</t>
  </si>
  <si>
    <t>FRJH-09</t>
  </si>
  <si>
    <t>[표1]</t>
    <phoneticPr fontId="2" type="noConversion"/>
  </si>
  <si>
    <t>사원별 급여현황</t>
    <phoneticPr fontId="2" type="noConversion"/>
  </si>
  <si>
    <t>[표2]</t>
    <phoneticPr fontId="2" type="noConversion"/>
  </si>
  <si>
    <t>[표3]</t>
    <phoneticPr fontId="2" type="noConversion"/>
  </si>
  <si>
    <t>근무현황표</t>
    <phoneticPr fontId="2" type="noConversion"/>
  </si>
  <si>
    <t>[표4] 할인율</t>
    <phoneticPr fontId="2" type="noConversion"/>
  </si>
  <si>
    <t>[표5]</t>
    <phoneticPr fontId="2" type="noConversion"/>
  </si>
  <si>
    <t>제품목록</t>
    <phoneticPr fontId="2" type="noConversion"/>
  </si>
  <si>
    <t>판매단가</t>
    <phoneticPr fontId="2" type="noConversion"/>
  </si>
  <si>
    <t>제조일자</t>
    <phoneticPr fontId="2" type="noConversion"/>
  </si>
  <si>
    <t>유효기간</t>
    <phoneticPr fontId="2" type="noConversion"/>
  </si>
  <si>
    <t>① 포인트</t>
    <phoneticPr fontId="2" type="noConversion"/>
  </si>
  <si>
    <t>② 배송지</t>
    <phoneticPr fontId="2" type="noConversion"/>
  </si>
  <si>
    <t>③ 회원구분</t>
    <phoneticPr fontId="2" type="noConversion"/>
  </si>
  <si>
    <t>④ 요일</t>
    <phoneticPr fontId="2" type="noConversion"/>
  </si>
  <si>
    <t>⑤ 주문처</t>
    <phoneticPr fontId="2" type="noConversion"/>
  </si>
  <si>
    <t>⑥ 할인율</t>
    <phoneticPr fontId="2" type="noConversion"/>
  </si>
  <si>
    <t>① 수당률</t>
    <phoneticPr fontId="2" type="noConversion"/>
  </si>
  <si>
    <t>② 급여총액</t>
    <phoneticPr fontId="2" type="noConversion"/>
  </si>
  <si>
    <t>③ 회원등급</t>
    <phoneticPr fontId="2" type="noConversion"/>
  </si>
  <si>
    <t>④ 적립률</t>
    <phoneticPr fontId="2" type="noConversion"/>
  </si>
  <si>
    <t>⑤ 주문지</t>
    <phoneticPr fontId="2" type="noConversion"/>
  </si>
  <si>
    <t>① 급여</t>
    <phoneticPr fontId="2" type="noConversion"/>
  </si>
  <si>
    <t>②직무수당</t>
    <phoneticPr fontId="2" type="noConversion"/>
  </si>
  <si>
    <t>③
총점이 가장 높은 사원</t>
    <phoneticPr fontId="2" type="noConversion"/>
  </si>
  <si>
    <t>④
근태가 가장 낮은 사원</t>
    <phoneticPr fontId="2" type="noConversion"/>
  </si>
  <si>
    <t>⑤ 할인가</t>
    <phoneticPr fontId="2" type="noConversion"/>
  </si>
  <si>
    <t>협동</t>
    <phoneticPr fontId="5" type="noConversion"/>
  </si>
  <si>
    <t>이름</t>
    <phoneticPr fontId="5" type="noConversion"/>
  </si>
  <si>
    <t>[표4]</t>
    <phoneticPr fontId="2" type="noConversion"/>
  </si>
  <si>
    <t>[표2]</t>
    <phoneticPr fontId="2" type="noConversion"/>
  </si>
  <si>
    <t>[표5] 지역구분</t>
    <phoneticPr fontId="2" type="noConversion"/>
  </si>
  <si>
    <t>직위</t>
    <phoneticPr fontId="2" type="noConversion"/>
  </si>
  <si>
    <t>수당계산표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</si>
</sst>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%"/>
    <numFmt numFmtId="177" formatCode="#,##0&quot;~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41" fontId="6" fillId="0" borderId="1" xfId="4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6" fillId="0" borderId="1" xfId="4" applyNumberFormat="1" applyFont="1" applyFill="1" applyBorder="1" applyAlignment="1">
      <alignment horizontal="center" vertical="center"/>
    </xf>
    <xf numFmtId="176" fontId="0" fillId="0" borderId="1" xfId="5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1" xfId="4" applyFont="1" applyBorder="1">
      <alignment vertical="center"/>
    </xf>
    <xf numFmtId="0" fontId="0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41" fontId="6" fillId="0" borderId="1" xfId="4" applyFont="1" applyFill="1" applyBorder="1" applyAlignment="1">
      <alignment vertical="center"/>
    </xf>
    <xf numFmtId="176" fontId="6" fillId="0" borderId="1" xfId="5" applyNumberFormat="1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3" borderId="1" xfId="4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8" fillId="0" borderId="1" xfId="2" applyFont="1" applyBorder="1" applyAlignment="1">
      <alignment horizontal="center" vertical="center"/>
    </xf>
    <xf numFmtId="176" fontId="0" fillId="0" borderId="1" xfId="5" applyNumberFormat="1" applyFont="1" applyBorder="1" applyAlignment="1">
      <alignment horizontal="center" vertical="center"/>
    </xf>
    <xf numFmtId="177" fontId="0" fillId="0" borderId="1" xfId="4" applyNumberFormat="1" applyFont="1" applyBorder="1" applyAlignment="1">
      <alignment horizontal="center" vertical="center"/>
    </xf>
    <xf numFmtId="177" fontId="6" fillId="0" borderId="1" xfId="4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41" fontId="0" fillId="0" borderId="1" xfId="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1" fontId="6" fillId="4" borderId="1" xfId="4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6">
    <cellStyle name="백분율" xfId="5" builtinId="5"/>
    <cellStyle name="쉼표 [0]" xfId="4" builtinId="6"/>
    <cellStyle name="쉼표 [0] 2" xfId="1"/>
    <cellStyle name="쉼표 [0] 3" xfId="2"/>
    <cellStyle name="표준" xfId="0" builtinId="0"/>
    <cellStyle name="표준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zoomScaleNormal="100" workbookViewId="0">
      <selection activeCell="A2" sqref="A2"/>
    </sheetView>
  </sheetViews>
  <sheetFormatPr defaultRowHeight="17.399999999999999"/>
  <cols>
    <col min="1" max="7" width="10.69921875" customWidth="1"/>
    <col min="9" max="15" width="8.69921875" customWidth="1"/>
    <col min="16" max="16" width="14.19921875" customWidth="1"/>
    <col min="17" max="17" width="10.69921875" customWidth="1"/>
    <col min="18" max="18" width="12.3984375" bestFit="1" customWidth="1"/>
  </cols>
  <sheetData>
    <row r="1" spans="1:14">
      <c r="A1" t="s">
        <v>33</v>
      </c>
      <c r="I1" t="s">
        <v>90</v>
      </c>
    </row>
    <row r="2" spans="1:14">
      <c r="A2" s="5" t="s">
        <v>40</v>
      </c>
      <c r="B2" s="5" t="s">
        <v>58</v>
      </c>
      <c r="C2" s="5" t="s">
        <v>48</v>
      </c>
      <c r="D2" s="6" t="s">
        <v>215</v>
      </c>
      <c r="E2" s="5" t="s">
        <v>34</v>
      </c>
      <c r="F2" s="6" t="s">
        <v>216</v>
      </c>
      <c r="G2" s="6" t="s">
        <v>217</v>
      </c>
      <c r="I2" s="2" t="s">
        <v>43</v>
      </c>
      <c r="J2" s="2" t="s">
        <v>47</v>
      </c>
    </row>
    <row r="3" spans="1:14">
      <c r="A3" s="1" t="s">
        <v>1</v>
      </c>
      <c r="B3" s="10" t="s">
        <v>44</v>
      </c>
      <c r="C3" s="13">
        <v>246000</v>
      </c>
      <c r="D3" s="15">
        <f>C3*VLOOKUP(B3,$I$3:$J$5,2,FALSE)</f>
        <v>4920</v>
      </c>
      <c r="E3" s="10" t="s">
        <v>49</v>
      </c>
      <c r="F3" s="5" t="str">
        <f>VLOOKUP(LEFT(E3,1),$I$9:$J$11,2,FALSE)</f>
        <v>서울</v>
      </c>
      <c r="G3" s="1" t="str">
        <f>CHOOSE(RIGHT(E3,1),"그린","블루","레드","블랙")</f>
        <v>블루</v>
      </c>
      <c r="I3" s="10" t="s">
        <v>44</v>
      </c>
      <c r="J3" s="12">
        <v>0.02</v>
      </c>
    </row>
    <row r="4" spans="1:14">
      <c r="A4" s="1" t="s">
        <v>2</v>
      </c>
      <c r="B4" s="10" t="s">
        <v>45</v>
      </c>
      <c r="C4" s="13">
        <v>584000</v>
      </c>
      <c r="D4" s="15">
        <f t="shared" ref="D4:D11" si="0">C4*VLOOKUP(B4,$I$3:$J$5,2,FALSE)</f>
        <v>17520</v>
      </c>
      <c r="E4" s="10" t="s">
        <v>53</v>
      </c>
      <c r="F4" s="5" t="str">
        <f t="shared" ref="F4:F11" si="1">VLOOKUP(LEFT(E4,1),$I$9:$J$11,2,FALSE)</f>
        <v>제주</v>
      </c>
      <c r="G4" s="10" t="str">
        <f t="shared" ref="G4:G11" si="2">CHOOSE(RIGHT(E4,1),"그린","블루","레드","블랙")</f>
        <v>그린</v>
      </c>
      <c r="I4" s="10" t="s">
        <v>45</v>
      </c>
      <c r="J4" s="12">
        <v>0.03</v>
      </c>
    </row>
    <row r="5" spans="1:14">
      <c r="A5" s="1" t="s">
        <v>3</v>
      </c>
      <c r="B5" s="10" t="s">
        <v>46</v>
      </c>
      <c r="C5" s="13">
        <v>615000</v>
      </c>
      <c r="D5" s="15">
        <f t="shared" si="0"/>
        <v>30750</v>
      </c>
      <c r="E5" s="10" t="s">
        <v>54</v>
      </c>
      <c r="F5" s="5" t="str">
        <f t="shared" si="1"/>
        <v>부산</v>
      </c>
      <c r="G5" s="10" t="str">
        <f t="shared" si="2"/>
        <v>블랙</v>
      </c>
      <c r="I5" s="10" t="s">
        <v>46</v>
      </c>
      <c r="J5" s="12">
        <v>0.05</v>
      </c>
    </row>
    <row r="6" spans="1:14">
      <c r="A6" s="1" t="s">
        <v>4</v>
      </c>
      <c r="B6" s="10" t="s">
        <v>44</v>
      </c>
      <c r="C6" s="13">
        <v>389000</v>
      </c>
      <c r="D6" s="15">
        <f t="shared" si="0"/>
        <v>7780</v>
      </c>
      <c r="E6" s="10" t="s">
        <v>55</v>
      </c>
      <c r="F6" s="5" t="str">
        <f t="shared" si="1"/>
        <v>서울</v>
      </c>
      <c r="G6" s="10" t="str">
        <f t="shared" si="2"/>
        <v>블루</v>
      </c>
    </row>
    <row r="7" spans="1:14">
      <c r="A7" s="1" t="s">
        <v>5</v>
      </c>
      <c r="B7" s="10" t="s">
        <v>45</v>
      </c>
      <c r="C7" s="13">
        <v>388000</v>
      </c>
      <c r="D7" s="15">
        <f t="shared" si="0"/>
        <v>11640</v>
      </c>
      <c r="E7" s="10" t="s">
        <v>50</v>
      </c>
      <c r="F7" s="5" t="str">
        <f t="shared" si="1"/>
        <v>제주</v>
      </c>
      <c r="G7" s="10" t="str">
        <f t="shared" si="2"/>
        <v>블랙</v>
      </c>
      <c r="I7" t="s">
        <v>91</v>
      </c>
    </row>
    <row r="8" spans="1:14">
      <c r="A8" s="1" t="s">
        <v>0</v>
      </c>
      <c r="B8" s="10" t="s">
        <v>46</v>
      </c>
      <c r="C8" s="13">
        <v>635000</v>
      </c>
      <c r="D8" s="15">
        <f t="shared" si="0"/>
        <v>31750</v>
      </c>
      <c r="E8" s="10" t="s">
        <v>51</v>
      </c>
      <c r="F8" s="5" t="str">
        <f t="shared" si="1"/>
        <v>부산</v>
      </c>
      <c r="G8" s="10" t="str">
        <f t="shared" si="2"/>
        <v>그린</v>
      </c>
      <c r="I8" s="2" t="s">
        <v>24</v>
      </c>
      <c r="J8" s="7" t="s">
        <v>16</v>
      </c>
    </row>
    <row r="9" spans="1:14">
      <c r="A9" s="1" t="s">
        <v>6</v>
      </c>
      <c r="B9" s="10" t="s">
        <v>44</v>
      </c>
      <c r="C9" s="13">
        <v>495000</v>
      </c>
      <c r="D9" s="15">
        <f t="shared" si="0"/>
        <v>9900</v>
      </c>
      <c r="E9" s="10" t="s">
        <v>56</v>
      </c>
      <c r="F9" s="5" t="str">
        <f t="shared" si="1"/>
        <v>서울</v>
      </c>
      <c r="G9" s="10" t="str">
        <f t="shared" si="2"/>
        <v>레드</v>
      </c>
      <c r="I9" s="5" t="s">
        <v>20</v>
      </c>
      <c r="J9" s="5" t="s">
        <v>17</v>
      </c>
    </row>
    <row r="10" spans="1:14">
      <c r="A10" s="1" t="s">
        <v>7</v>
      </c>
      <c r="B10" s="10" t="s">
        <v>45</v>
      </c>
      <c r="C10" s="13">
        <v>642000</v>
      </c>
      <c r="D10" s="15">
        <f t="shared" si="0"/>
        <v>19260</v>
      </c>
      <c r="E10" s="10" t="s">
        <v>52</v>
      </c>
      <c r="F10" s="5" t="str">
        <f t="shared" si="1"/>
        <v>제주</v>
      </c>
      <c r="G10" s="10" t="str">
        <f t="shared" si="2"/>
        <v>그린</v>
      </c>
      <c r="I10" s="5" t="s">
        <v>21</v>
      </c>
      <c r="J10" s="5" t="s">
        <v>18</v>
      </c>
    </row>
    <row r="11" spans="1:14">
      <c r="A11" s="5" t="s">
        <v>23</v>
      </c>
      <c r="B11" s="10" t="s">
        <v>46</v>
      </c>
      <c r="C11" s="14">
        <v>832000</v>
      </c>
      <c r="D11" s="15">
        <f t="shared" si="0"/>
        <v>41600</v>
      </c>
      <c r="E11" s="10" t="s">
        <v>57</v>
      </c>
      <c r="F11" s="5" t="str">
        <f t="shared" si="1"/>
        <v>부산</v>
      </c>
      <c r="G11" s="10" t="str">
        <f t="shared" si="2"/>
        <v>레드</v>
      </c>
      <c r="I11" s="5" t="s">
        <v>22</v>
      </c>
      <c r="J11" s="5" t="s">
        <v>19</v>
      </c>
    </row>
    <row r="14" spans="1:14">
      <c r="A14" s="8" t="s">
        <v>38</v>
      </c>
      <c r="B14" s="8" t="s">
        <v>92</v>
      </c>
      <c r="I14" s="8" t="s">
        <v>93</v>
      </c>
    </row>
    <row r="15" spans="1:14">
      <c r="A15" s="5" t="s">
        <v>59</v>
      </c>
      <c r="B15" s="9" t="s">
        <v>60</v>
      </c>
      <c r="C15" s="11" t="s">
        <v>218</v>
      </c>
      <c r="D15" s="4" t="s">
        <v>68</v>
      </c>
      <c r="E15" s="11" t="s">
        <v>219</v>
      </c>
      <c r="F15" s="10" t="s">
        <v>77</v>
      </c>
      <c r="G15" s="11" t="s">
        <v>220</v>
      </c>
      <c r="K15" s="2" t="s">
        <v>84</v>
      </c>
      <c r="L15" s="2" t="s">
        <v>85</v>
      </c>
      <c r="M15" s="2" t="s">
        <v>86</v>
      </c>
      <c r="N15" s="2" t="s">
        <v>87</v>
      </c>
    </row>
    <row r="16" spans="1:14">
      <c r="A16" s="10" t="s">
        <v>10</v>
      </c>
      <c r="B16" s="17">
        <v>44601</v>
      </c>
      <c r="C16" s="10" t="str">
        <f t="shared" ref="C16:C24" si="3">HLOOKUP(WEEKDAY(B16,2),$I$23:$O$24,2,FALSE)</f>
        <v>수요일</v>
      </c>
      <c r="D16" s="4" t="s">
        <v>70</v>
      </c>
      <c r="E16" s="10" t="str">
        <f>LOOKUP(D16,$J$17:$J$20,$I$17:$I$20)</f>
        <v>미진상사</v>
      </c>
      <c r="F16" s="10" t="s">
        <v>78</v>
      </c>
      <c r="G16" s="18">
        <f>VLOOKUP(D16,$J$17:$N$20,MATCH(F16,$K$16:$N$16,0)+1,FALSE)</f>
        <v>3.7999999999999999E-2</v>
      </c>
      <c r="I16" s="19" t="s">
        <v>69</v>
      </c>
      <c r="J16" s="19" t="s">
        <v>35</v>
      </c>
      <c r="K16" s="7" t="s">
        <v>82</v>
      </c>
      <c r="L16" s="7" t="s">
        <v>83</v>
      </c>
      <c r="M16" s="7" t="s">
        <v>88</v>
      </c>
      <c r="N16" s="7" t="s">
        <v>89</v>
      </c>
    </row>
    <row r="17" spans="1:15">
      <c r="A17" s="10" t="s">
        <v>11</v>
      </c>
      <c r="B17" s="17">
        <v>44605</v>
      </c>
      <c r="C17" s="10" t="str">
        <f t="shared" si="3"/>
        <v>일요일</v>
      </c>
      <c r="D17" s="4" t="s">
        <v>71</v>
      </c>
      <c r="E17" s="10" t="str">
        <f t="shared" ref="E17:E24" si="4">LOOKUP(D17,$J$17:$J$20,$I$17:$I$20)</f>
        <v>나라상사</v>
      </c>
      <c r="F17" s="10" t="s">
        <v>79</v>
      </c>
      <c r="G17" s="18">
        <f t="shared" ref="G17:G24" si="5">VLOOKUP(D17,$J$17:$N$20,MATCH(F17,$K$16:$N$16,0)+1,FALSE)</f>
        <v>3.5000000000000003E-2</v>
      </c>
      <c r="I17" s="5" t="s">
        <v>28</v>
      </c>
      <c r="J17" s="4" t="s">
        <v>72</v>
      </c>
      <c r="K17" s="18">
        <v>0.03</v>
      </c>
      <c r="L17" s="18">
        <v>3.2000000000000001E-2</v>
      </c>
      <c r="M17" s="18">
        <v>3.3000000000000002E-2</v>
      </c>
      <c r="N17" s="18">
        <v>3.5000000000000003E-2</v>
      </c>
    </row>
    <row r="18" spans="1:15">
      <c r="A18" s="10" t="s">
        <v>12</v>
      </c>
      <c r="B18" s="17">
        <v>44608</v>
      </c>
      <c r="C18" s="10" t="str">
        <f t="shared" si="3"/>
        <v>수요일</v>
      </c>
      <c r="D18" s="4" t="s">
        <v>73</v>
      </c>
      <c r="E18" s="10" t="str">
        <f t="shared" si="4"/>
        <v>대진유통</v>
      </c>
      <c r="F18" s="10" t="s">
        <v>80</v>
      </c>
      <c r="G18" s="18">
        <f t="shared" si="5"/>
        <v>3.4000000000000002E-2</v>
      </c>
      <c r="I18" s="5" t="s">
        <v>25</v>
      </c>
      <c r="J18" s="4" t="s">
        <v>74</v>
      </c>
      <c r="K18" s="18">
        <v>3.2000000000000001E-2</v>
      </c>
      <c r="L18" s="18">
        <v>3.4000000000000002E-2</v>
      </c>
      <c r="M18" s="18">
        <v>3.5000000000000003E-2</v>
      </c>
      <c r="N18" s="18">
        <v>3.6999999999999998E-2</v>
      </c>
    </row>
    <row r="19" spans="1:15">
      <c r="A19" s="10" t="s">
        <v>8</v>
      </c>
      <c r="B19" s="17">
        <v>44616</v>
      </c>
      <c r="C19" s="10" t="str">
        <f t="shared" si="3"/>
        <v>목요일</v>
      </c>
      <c r="D19" s="4" t="s">
        <v>73</v>
      </c>
      <c r="E19" s="10" t="str">
        <f t="shared" si="4"/>
        <v>대진유통</v>
      </c>
      <c r="F19" s="10" t="s">
        <v>81</v>
      </c>
      <c r="G19" s="18">
        <f t="shared" si="5"/>
        <v>3.5000000000000003E-2</v>
      </c>
      <c r="I19" s="5" t="s">
        <v>26</v>
      </c>
      <c r="J19" s="4" t="s">
        <v>76</v>
      </c>
      <c r="K19" s="18">
        <v>3.5000000000000003E-2</v>
      </c>
      <c r="L19" s="18">
        <v>3.6999999999999998E-2</v>
      </c>
      <c r="M19" s="18">
        <v>3.7999999999999999E-2</v>
      </c>
      <c r="N19" s="18">
        <v>3.9E-2</v>
      </c>
    </row>
    <row r="20" spans="1:15">
      <c r="A20" s="10" t="s">
        <v>13</v>
      </c>
      <c r="B20" s="17">
        <v>44634</v>
      </c>
      <c r="C20" s="10" t="str">
        <f t="shared" si="3"/>
        <v>월요일</v>
      </c>
      <c r="D20" s="4" t="s">
        <v>70</v>
      </c>
      <c r="E20" s="10" t="str">
        <f t="shared" si="4"/>
        <v>미진상사</v>
      </c>
      <c r="F20" s="10" t="s">
        <v>79</v>
      </c>
      <c r="G20" s="18">
        <f t="shared" si="5"/>
        <v>4.1000000000000002E-2</v>
      </c>
      <c r="I20" s="5" t="s">
        <v>27</v>
      </c>
      <c r="J20" s="4" t="s">
        <v>20</v>
      </c>
      <c r="K20" s="18">
        <v>3.7999999999999999E-2</v>
      </c>
      <c r="L20" s="18">
        <v>3.9E-2</v>
      </c>
      <c r="M20" s="18">
        <v>0.04</v>
      </c>
      <c r="N20" s="18">
        <v>4.1000000000000002E-2</v>
      </c>
    </row>
    <row r="21" spans="1:15">
      <c r="A21" s="10" t="s">
        <v>14</v>
      </c>
      <c r="B21" s="17">
        <v>44646</v>
      </c>
      <c r="C21" s="10" t="str">
        <f t="shared" si="3"/>
        <v>토요일</v>
      </c>
      <c r="D21" s="4" t="s">
        <v>75</v>
      </c>
      <c r="E21" s="10" t="str">
        <f t="shared" si="4"/>
        <v>상진무역</v>
      </c>
      <c r="F21" s="10" t="s">
        <v>80</v>
      </c>
      <c r="G21" s="18">
        <f t="shared" si="5"/>
        <v>3.6999999999999998E-2</v>
      </c>
    </row>
    <row r="22" spans="1:15">
      <c r="A22" s="10" t="s">
        <v>9</v>
      </c>
      <c r="B22" s="17">
        <v>44620</v>
      </c>
      <c r="C22" s="10" t="str">
        <f t="shared" si="3"/>
        <v>월요일</v>
      </c>
      <c r="D22" s="4" t="s">
        <v>71</v>
      </c>
      <c r="E22" s="10" t="str">
        <f t="shared" si="4"/>
        <v>나라상사</v>
      </c>
      <c r="F22" s="10" t="s">
        <v>81</v>
      </c>
      <c r="G22" s="18">
        <f t="shared" si="5"/>
        <v>3.3000000000000002E-2</v>
      </c>
      <c r="I22" s="8" t="s">
        <v>94</v>
      </c>
    </row>
    <row r="23" spans="1:15">
      <c r="A23" s="10" t="s">
        <v>15</v>
      </c>
      <c r="B23" s="17">
        <v>44620</v>
      </c>
      <c r="C23" s="10" t="str">
        <f t="shared" si="3"/>
        <v>월요일</v>
      </c>
      <c r="D23" s="4" t="s">
        <v>73</v>
      </c>
      <c r="E23" s="10" t="str">
        <f t="shared" si="4"/>
        <v>대진유통</v>
      </c>
      <c r="F23" s="10" t="s">
        <v>78</v>
      </c>
      <c r="G23" s="18">
        <f t="shared" si="5"/>
        <v>3.2000000000000001E-2</v>
      </c>
      <c r="I23" s="2">
        <v>1</v>
      </c>
      <c r="J23" s="2">
        <v>2</v>
      </c>
      <c r="K23" s="2">
        <v>3</v>
      </c>
      <c r="L23" s="2">
        <v>4</v>
      </c>
      <c r="M23" s="2">
        <v>5</v>
      </c>
      <c r="N23" s="2">
        <v>6</v>
      </c>
      <c r="O23" s="2">
        <v>7</v>
      </c>
    </row>
    <row r="24" spans="1:15">
      <c r="A24" s="10" t="s">
        <v>32</v>
      </c>
      <c r="B24" s="17">
        <v>44608</v>
      </c>
      <c r="C24" s="10" t="str">
        <f t="shared" si="3"/>
        <v>수요일</v>
      </c>
      <c r="D24" s="4" t="s">
        <v>73</v>
      </c>
      <c r="E24" s="10" t="str">
        <f t="shared" si="4"/>
        <v>대진유통</v>
      </c>
      <c r="F24" s="10" t="s">
        <v>80</v>
      </c>
      <c r="G24" s="18">
        <f t="shared" si="5"/>
        <v>3.4000000000000002E-2</v>
      </c>
      <c r="I24" s="10" t="s">
        <v>61</v>
      </c>
      <c r="J24" s="10" t="s">
        <v>62</v>
      </c>
      <c r="K24" s="10" t="s">
        <v>63</v>
      </c>
      <c r="L24" s="10" t="s">
        <v>64</v>
      </c>
      <c r="M24" s="10" t="s">
        <v>65</v>
      </c>
      <c r="N24" s="10" t="s">
        <v>66</v>
      </c>
      <c r="O24" s="10" t="s">
        <v>67</v>
      </c>
    </row>
  </sheetData>
  <sortState ref="J17:J20">
    <sortCondition ref="J16"/>
  </sortState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A2" sqref="A2"/>
    </sheetView>
  </sheetViews>
  <sheetFormatPr defaultRowHeight="17.399999999999999"/>
  <cols>
    <col min="1" max="5" width="10.69921875" customWidth="1"/>
    <col min="7" max="15" width="10.69921875" customWidth="1"/>
  </cols>
  <sheetData>
    <row r="1" spans="1:15">
      <c r="A1" s="21" t="s">
        <v>95</v>
      </c>
      <c r="B1" s="21" t="s">
        <v>96</v>
      </c>
      <c r="C1" s="21"/>
      <c r="D1" s="21"/>
      <c r="G1" t="s">
        <v>36</v>
      </c>
      <c r="H1" t="s">
        <v>37</v>
      </c>
    </row>
    <row r="2" spans="1:15">
      <c r="A2" s="5" t="s">
        <v>97</v>
      </c>
      <c r="B2" s="5" t="s">
        <v>98</v>
      </c>
      <c r="C2" s="5" t="s">
        <v>99</v>
      </c>
      <c r="D2" s="6" t="s">
        <v>221</v>
      </c>
      <c r="E2" s="6" t="s">
        <v>222</v>
      </c>
      <c r="G2" s="5" t="s">
        <v>126</v>
      </c>
      <c r="H2" s="5" t="s">
        <v>119</v>
      </c>
      <c r="I2" s="6" t="s">
        <v>223</v>
      </c>
      <c r="J2" s="10" t="s">
        <v>127</v>
      </c>
      <c r="K2" s="10" t="s">
        <v>128</v>
      </c>
      <c r="L2" s="10" t="s">
        <v>129</v>
      </c>
      <c r="M2" s="10" t="s">
        <v>130</v>
      </c>
      <c r="N2" s="11" t="s">
        <v>224</v>
      </c>
      <c r="O2" s="11" t="s">
        <v>225</v>
      </c>
    </row>
    <row r="3" spans="1:15">
      <c r="A3" s="22" t="s">
        <v>101</v>
      </c>
      <c r="B3" s="13" t="s">
        <v>102</v>
      </c>
      <c r="C3" s="23">
        <v>2550000</v>
      </c>
      <c r="D3" s="24">
        <f t="shared" ref="D3:D10" si="0">HLOOKUP(B3,$B$13:$E$15,2,FALSE)</f>
        <v>0.05</v>
      </c>
      <c r="E3" s="25">
        <f t="shared" ref="E3:E10" si="1">C3+INDEX($B$15:$E$15,1,MATCH(B3,$B$13:$E$13,0))</f>
        <v>2725000</v>
      </c>
      <c r="G3" s="1" t="s">
        <v>1</v>
      </c>
      <c r="H3" s="5" t="s">
        <v>29</v>
      </c>
      <c r="I3" s="1" t="str">
        <f>CHOOSE(MID(H3,3,1)+1,"브론드","실버","골드","다이아")</f>
        <v>실버</v>
      </c>
      <c r="J3" s="13">
        <v>5790</v>
      </c>
      <c r="K3" s="13">
        <v>2952</v>
      </c>
      <c r="L3" s="13">
        <v>2460</v>
      </c>
      <c r="M3" s="28">
        <v>7200</v>
      </c>
      <c r="N3" s="29">
        <f>HLOOKUP(SUMPRODUCT(J3:M3,{0.2,0.2,0.3,0.3}),$H$13:$K$14,2,TRUE)</f>
        <v>4.4999999999999998E-2</v>
      </c>
      <c r="O3" s="28" t="str">
        <f>INDEX($N$14:$N$16,MATCH(LEFT(H3,1),$M$14:$M$16,0),1)</f>
        <v>서울</v>
      </c>
    </row>
    <row r="4" spans="1:15">
      <c r="A4" s="22" t="s">
        <v>103</v>
      </c>
      <c r="B4" s="13" t="s">
        <v>102</v>
      </c>
      <c r="C4" s="23">
        <v>2650000</v>
      </c>
      <c r="D4" s="24">
        <f t="shared" si="0"/>
        <v>0.05</v>
      </c>
      <c r="E4" s="25">
        <f t="shared" si="1"/>
        <v>2825000</v>
      </c>
      <c r="G4" s="1" t="s">
        <v>2</v>
      </c>
      <c r="H4" s="5" t="s">
        <v>120</v>
      </c>
      <c r="I4" s="10" t="str">
        <f t="shared" ref="I4:I10" si="2">CHOOSE(MID(H4,3,1)+1,"브론드","실버","골드","다이아")</f>
        <v>브론드</v>
      </c>
      <c r="J4" s="13">
        <v>1640</v>
      </c>
      <c r="K4" s="13">
        <v>7008</v>
      </c>
      <c r="L4" s="13">
        <v>5840</v>
      </c>
      <c r="M4" s="28">
        <v>6052.8</v>
      </c>
      <c r="N4" s="29">
        <f>HLOOKUP(SUMPRODUCT(J4:M4,{0.2,0.2,0.3,0.3}),$H$13:$K$14,2,TRUE)</f>
        <v>4.4999999999999998E-2</v>
      </c>
      <c r="O4" s="28" t="str">
        <f t="shared" ref="O4:O10" si="3">INDEX($N$14:$N$16,MATCH(LEFT(H4,1),$M$14:$M$16,0),1)</f>
        <v>제주</v>
      </c>
    </row>
    <row r="5" spans="1:15">
      <c r="A5" s="22" t="s">
        <v>104</v>
      </c>
      <c r="B5" s="13" t="s">
        <v>105</v>
      </c>
      <c r="C5" s="23">
        <v>2450000</v>
      </c>
      <c r="D5" s="24">
        <f t="shared" si="0"/>
        <v>4.4999999999999998E-2</v>
      </c>
      <c r="E5" s="25">
        <f t="shared" si="1"/>
        <v>2600000</v>
      </c>
      <c r="G5" s="1" t="s">
        <v>3</v>
      </c>
      <c r="H5" s="5" t="s">
        <v>30</v>
      </c>
      <c r="I5" s="10" t="str">
        <f t="shared" si="2"/>
        <v>골드</v>
      </c>
      <c r="J5" s="13">
        <v>3450</v>
      </c>
      <c r="K5" s="13">
        <v>7380</v>
      </c>
      <c r="L5" s="13">
        <v>6150</v>
      </c>
      <c r="M5" s="28">
        <v>4801.5</v>
      </c>
      <c r="N5" s="29">
        <f>HLOOKUP(SUMPRODUCT(J5:M5,{0.2,0.2,0.3,0.3}),$H$13:$K$14,2,TRUE)</f>
        <v>4.4999999999999998E-2</v>
      </c>
      <c r="O5" s="28" t="str">
        <f t="shared" si="3"/>
        <v>부산</v>
      </c>
    </row>
    <row r="6" spans="1:15">
      <c r="A6" s="22" t="s">
        <v>106</v>
      </c>
      <c r="B6" s="13" t="s">
        <v>108</v>
      </c>
      <c r="C6" s="23">
        <v>1850000</v>
      </c>
      <c r="D6" s="24">
        <f t="shared" si="0"/>
        <v>0.03</v>
      </c>
      <c r="E6" s="25">
        <f t="shared" si="1"/>
        <v>1975000</v>
      </c>
      <c r="G6" s="1" t="s">
        <v>4</v>
      </c>
      <c r="H6" s="5" t="s">
        <v>121</v>
      </c>
      <c r="I6" s="10" t="str">
        <f t="shared" si="2"/>
        <v>다이아</v>
      </c>
      <c r="J6" s="13">
        <v>6420</v>
      </c>
      <c r="K6" s="13">
        <v>4668</v>
      </c>
      <c r="L6" s="13">
        <v>3890</v>
      </c>
      <c r="M6" s="28">
        <v>12125</v>
      </c>
      <c r="N6" s="29">
        <f>HLOOKUP(SUMPRODUCT(J6:M6,{0.2,0.2,0.3,0.3}),$H$13:$K$14,2,TRUE)</f>
        <v>0.05</v>
      </c>
      <c r="O6" s="28" t="str">
        <f t="shared" si="3"/>
        <v>서울</v>
      </c>
    </row>
    <row r="7" spans="1:15">
      <c r="A7" s="22" t="s">
        <v>109</v>
      </c>
      <c r="B7" s="13" t="s">
        <v>105</v>
      </c>
      <c r="C7" s="23">
        <v>2000000</v>
      </c>
      <c r="D7" s="24">
        <f t="shared" si="0"/>
        <v>4.4999999999999998E-2</v>
      </c>
      <c r="E7" s="25">
        <f t="shared" si="1"/>
        <v>2150000</v>
      </c>
      <c r="G7" s="1" t="s">
        <v>5</v>
      </c>
      <c r="H7" s="5" t="s">
        <v>122</v>
      </c>
      <c r="I7" s="10" t="str">
        <f t="shared" si="2"/>
        <v>실버</v>
      </c>
      <c r="J7" s="13">
        <v>4690</v>
      </c>
      <c r="K7" s="13">
        <v>4656</v>
      </c>
      <c r="L7" s="13">
        <v>3880</v>
      </c>
      <c r="M7" s="28">
        <v>2400</v>
      </c>
      <c r="N7" s="29">
        <f>HLOOKUP(SUMPRODUCT(J7:M7,{0.2,0.2,0.3,0.3}),$H$13:$K$14,2,TRUE)</f>
        <v>0.03</v>
      </c>
      <c r="O7" s="28" t="str">
        <f t="shared" si="3"/>
        <v>제주</v>
      </c>
    </row>
    <row r="8" spans="1:15">
      <c r="A8" s="22" t="s">
        <v>110</v>
      </c>
      <c r="B8" s="13" t="s">
        <v>108</v>
      </c>
      <c r="C8" s="23">
        <v>1950000</v>
      </c>
      <c r="D8" s="24">
        <f t="shared" si="0"/>
        <v>0.03</v>
      </c>
      <c r="E8" s="25">
        <f t="shared" si="1"/>
        <v>2075000</v>
      </c>
      <c r="G8" s="1" t="s">
        <v>0</v>
      </c>
      <c r="H8" s="5" t="s">
        <v>123</v>
      </c>
      <c r="I8" s="10" t="str">
        <f t="shared" si="2"/>
        <v>브론드</v>
      </c>
      <c r="J8" s="13">
        <v>2460</v>
      </c>
      <c r="K8" s="13">
        <v>1620</v>
      </c>
      <c r="L8" s="13">
        <v>2230</v>
      </c>
      <c r="M8" s="28">
        <v>1103</v>
      </c>
      <c r="N8" s="29">
        <f>HLOOKUP(SUMPRODUCT(J8:M8,{0.2,0.2,0.3,0.3}),$H$13:$K$14,2,TRUE)</f>
        <v>2.5000000000000001E-2</v>
      </c>
      <c r="O8" s="28" t="str">
        <f t="shared" si="3"/>
        <v>부산</v>
      </c>
    </row>
    <row r="9" spans="1:15">
      <c r="A9" s="22" t="s">
        <v>111</v>
      </c>
      <c r="B9" s="13" t="s">
        <v>112</v>
      </c>
      <c r="C9" s="23">
        <v>1650000</v>
      </c>
      <c r="D9" s="24">
        <f t="shared" si="0"/>
        <v>2.5000000000000001E-2</v>
      </c>
      <c r="E9" s="25">
        <f t="shared" si="1"/>
        <v>1750000</v>
      </c>
      <c r="G9" s="1" t="s">
        <v>6</v>
      </c>
      <c r="H9" s="5" t="s">
        <v>124</v>
      </c>
      <c r="I9" s="10" t="str">
        <f t="shared" si="2"/>
        <v>골드</v>
      </c>
      <c r="J9" s="13">
        <v>5840</v>
      </c>
      <c r="K9" s="13">
        <v>5940</v>
      </c>
      <c r="L9" s="13">
        <v>4950</v>
      </c>
      <c r="M9" s="28">
        <v>9800</v>
      </c>
      <c r="N9" s="29">
        <f>HLOOKUP(SUMPRODUCT(J9:M9,{0.2,0.2,0.3,0.3}),$H$13:$K$14,2,TRUE)</f>
        <v>0.05</v>
      </c>
      <c r="O9" s="28" t="str">
        <f t="shared" si="3"/>
        <v>서울</v>
      </c>
    </row>
    <row r="10" spans="1:15">
      <c r="A10" s="22" t="s">
        <v>113</v>
      </c>
      <c r="B10" s="13" t="s">
        <v>112</v>
      </c>
      <c r="C10" s="23">
        <v>1450000</v>
      </c>
      <c r="D10" s="24">
        <f t="shared" si="0"/>
        <v>2.5000000000000001E-2</v>
      </c>
      <c r="E10" s="25">
        <f t="shared" si="1"/>
        <v>1550000</v>
      </c>
      <c r="G10" s="1" t="s">
        <v>7</v>
      </c>
      <c r="H10" s="5" t="s">
        <v>125</v>
      </c>
      <c r="I10" s="10" t="str">
        <f t="shared" si="2"/>
        <v>다이아</v>
      </c>
      <c r="J10" s="13">
        <v>6150</v>
      </c>
      <c r="K10" s="13">
        <v>7704</v>
      </c>
      <c r="L10" s="13">
        <v>6420</v>
      </c>
      <c r="M10" s="28">
        <v>2040</v>
      </c>
      <c r="N10" s="29">
        <f>HLOOKUP(SUMPRODUCT(J10:M10,{0.2,0.2,0.3,0.3}),$H$13:$K$14,2,TRUE)</f>
        <v>4.4999999999999998E-2</v>
      </c>
      <c r="O10" s="28" t="str">
        <f t="shared" si="3"/>
        <v>제주</v>
      </c>
    </row>
    <row r="12" spans="1:15">
      <c r="A12" s="43" t="s">
        <v>234</v>
      </c>
      <c r="G12" s="44" t="s">
        <v>233</v>
      </c>
      <c r="M12" t="s">
        <v>235</v>
      </c>
    </row>
    <row r="13" spans="1:15" ht="17.399999999999999" customHeight="1">
      <c r="A13" s="7" t="s">
        <v>98</v>
      </c>
      <c r="B13" s="13" t="s">
        <v>114</v>
      </c>
      <c r="C13" s="10" t="s">
        <v>115</v>
      </c>
      <c r="D13" s="10" t="s">
        <v>116</v>
      </c>
      <c r="E13" s="10" t="s">
        <v>117</v>
      </c>
      <c r="G13" s="32" t="s">
        <v>131</v>
      </c>
      <c r="H13" s="30">
        <v>0</v>
      </c>
      <c r="I13" s="30">
        <v>2000</v>
      </c>
      <c r="J13" s="31">
        <v>4000</v>
      </c>
      <c r="K13" s="31">
        <v>6000</v>
      </c>
      <c r="M13" s="2" t="s">
        <v>24</v>
      </c>
      <c r="N13" s="7" t="s">
        <v>16</v>
      </c>
    </row>
    <row r="14" spans="1:15">
      <c r="A14" s="7" t="s">
        <v>100</v>
      </c>
      <c r="B14" s="24">
        <v>2.5000000000000001E-2</v>
      </c>
      <c r="C14" s="24">
        <v>0.03</v>
      </c>
      <c r="D14" s="24">
        <v>4.4999999999999998E-2</v>
      </c>
      <c r="E14" s="24">
        <v>0.05</v>
      </c>
      <c r="G14" s="2" t="s">
        <v>47</v>
      </c>
      <c r="H14" s="24">
        <v>2.5000000000000001E-2</v>
      </c>
      <c r="I14" s="24">
        <v>0.03</v>
      </c>
      <c r="J14" s="24">
        <v>4.4999999999999998E-2</v>
      </c>
      <c r="K14" s="24">
        <v>0.05</v>
      </c>
      <c r="M14" s="5" t="s">
        <v>20</v>
      </c>
      <c r="N14" s="5" t="s">
        <v>17</v>
      </c>
    </row>
    <row r="15" spans="1:15">
      <c r="A15" s="26" t="s">
        <v>118</v>
      </c>
      <c r="B15" s="14">
        <v>100000</v>
      </c>
      <c r="C15" s="14">
        <v>125000</v>
      </c>
      <c r="D15" s="14">
        <v>150000</v>
      </c>
      <c r="E15" s="14">
        <v>175000</v>
      </c>
      <c r="M15" s="5" t="s">
        <v>21</v>
      </c>
      <c r="N15" s="5" t="s">
        <v>18</v>
      </c>
    </row>
    <row r="16" spans="1:15">
      <c r="M16" s="5" t="s">
        <v>22</v>
      </c>
      <c r="N16" s="5" t="s">
        <v>19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workbookViewId="0">
      <selection activeCell="A2" sqref="A2"/>
    </sheetView>
  </sheetViews>
  <sheetFormatPr defaultRowHeight="17.399999999999999"/>
  <cols>
    <col min="2" max="2" width="12.69921875" customWidth="1"/>
    <col min="3" max="4" width="10.69921875" customWidth="1"/>
    <col min="5" max="6" width="12.69921875" customWidth="1"/>
    <col min="7" max="7" width="8.69921875" customWidth="1"/>
    <col min="9" max="12" width="5.69921875" customWidth="1"/>
    <col min="13" max="13" width="8.69921875" customWidth="1"/>
    <col min="15" max="15" width="8.69921875" customWidth="1"/>
    <col min="16" max="16" width="10.69921875" customWidth="1"/>
    <col min="17" max="17" width="8.69921875" customWidth="1"/>
    <col min="18" max="20" width="10.69921875" customWidth="1"/>
    <col min="21" max="21" width="12.69921875" customWidth="1"/>
    <col min="22" max="22" width="15.69921875" customWidth="1"/>
    <col min="23" max="23" width="12.69921875" customWidth="1"/>
  </cols>
  <sheetData>
    <row r="1" spans="1:22">
      <c r="A1" t="s">
        <v>204</v>
      </c>
      <c r="B1" t="s">
        <v>205</v>
      </c>
      <c r="H1" t="s">
        <v>207</v>
      </c>
      <c r="I1" t="s">
        <v>208</v>
      </c>
      <c r="R1" t="s">
        <v>210</v>
      </c>
      <c r="S1" t="s">
        <v>211</v>
      </c>
      <c r="U1" s="38" t="s">
        <v>174</v>
      </c>
      <c r="V1" s="37">
        <v>44927</v>
      </c>
    </row>
    <row r="2" spans="1:22">
      <c r="A2" s="1" t="s">
        <v>31</v>
      </c>
      <c r="B2" s="1" t="s">
        <v>39</v>
      </c>
      <c r="C2" s="5" t="s">
        <v>98</v>
      </c>
      <c r="D2" s="5" t="s">
        <v>161</v>
      </c>
      <c r="E2" s="6" t="s">
        <v>226</v>
      </c>
      <c r="F2" s="6" t="s">
        <v>227</v>
      </c>
      <c r="H2" s="4" t="s">
        <v>232</v>
      </c>
      <c r="I2" s="4" t="s">
        <v>150</v>
      </c>
      <c r="J2" s="4" t="s">
        <v>151</v>
      </c>
      <c r="K2" s="4" t="s">
        <v>152</v>
      </c>
      <c r="L2" s="4" t="s">
        <v>231</v>
      </c>
      <c r="M2" s="4" t="s">
        <v>153</v>
      </c>
      <c r="O2" s="47" t="s">
        <v>228</v>
      </c>
      <c r="P2" s="48"/>
      <c r="R2" s="10" t="s">
        <v>175</v>
      </c>
      <c r="S2" s="10" t="s">
        <v>212</v>
      </c>
      <c r="T2" s="10" t="s">
        <v>213</v>
      </c>
      <c r="U2" s="10" t="s">
        <v>176</v>
      </c>
      <c r="V2" s="11" t="s">
        <v>230</v>
      </c>
    </row>
    <row r="3" spans="1:22">
      <c r="A3" s="1" t="s">
        <v>10</v>
      </c>
      <c r="B3" s="1" t="s">
        <v>177</v>
      </c>
      <c r="C3" s="13" t="s">
        <v>154</v>
      </c>
      <c r="D3" s="9" t="s">
        <v>162</v>
      </c>
      <c r="E3" s="20">
        <f>VLOOKUP(C3,$A$17:$C$20,2,FALSE)+VLOOKUP(C3,$A$17:$C$20,3,FALSE)</f>
        <v>1624000</v>
      </c>
      <c r="F3" s="34">
        <f>E3*INDEX($D$17:$F$20,MATCH(C3,$A$17:$A$20,0),MATCH(D3,{"경영","전산","총무"},1))</f>
        <v>81200</v>
      </c>
      <c r="H3" s="27" t="s">
        <v>132</v>
      </c>
      <c r="I3" s="27">
        <v>82</v>
      </c>
      <c r="J3" s="27">
        <v>56</v>
      </c>
      <c r="K3" s="27">
        <v>77</v>
      </c>
      <c r="L3" s="27">
        <v>91</v>
      </c>
      <c r="M3" s="33">
        <f>SUM(I3:L3)</f>
        <v>306</v>
      </c>
      <c r="O3" s="48"/>
      <c r="P3" s="48"/>
      <c r="R3" s="4" t="s">
        <v>193</v>
      </c>
      <c r="S3" s="20">
        <v>168000</v>
      </c>
      <c r="T3" s="35">
        <v>44647</v>
      </c>
      <c r="U3" s="3">
        <v>12</v>
      </c>
      <c r="V3" s="20">
        <f>S3*(1-VLOOKUP(QUOTIENT(EDATE(T3,U3)-$V$1,30),$O$17:$P$20,2,TRUE))</f>
        <v>117599.99999999999</v>
      </c>
    </row>
    <row r="4" spans="1:22">
      <c r="A4" s="1" t="s">
        <v>42</v>
      </c>
      <c r="B4" s="1" t="s">
        <v>178</v>
      </c>
      <c r="C4" s="13" t="s">
        <v>154</v>
      </c>
      <c r="D4" s="10" t="s">
        <v>164</v>
      </c>
      <c r="E4" s="20">
        <f t="shared" ref="E4:E13" si="0">VLOOKUP(C4,$A$17:$C$20,2,FALSE)+VLOOKUP(C4,$A$17:$C$20,3,FALSE)</f>
        <v>1624000</v>
      </c>
      <c r="F4" s="34">
        <f>E4*INDEX($D$17:$F$20,MATCH(C4,$A$17:$A$20,0),MATCH(D4,{"경영","전산","총무"},1))</f>
        <v>64960</v>
      </c>
      <c r="H4" s="27" t="s">
        <v>133</v>
      </c>
      <c r="I4" s="27">
        <v>85</v>
      </c>
      <c r="J4" s="27">
        <v>70</v>
      </c>
      <c r="K4" s="27">
        <v>78</v>
      </c>
      <c r="L4" s="27">
        <v>62</v>
      </c>
      <c r="M4" s="33">
        <f t="shared" ref="M4:M20" si="1">SUM(I4:L4)</f>
        <v>295</v>
      </c>
      <c r="O4" s="51" t="str">
        <f>INDEX(H3:H20,MATCH(MAX(M3:M20),M3:M20,0),1)</f>
        <v>김태형</v>
      </c>
      <c r="P4" s="51"/>
      <c r="R4" s="4" t="s">
        <v>194</v>
      </c>
      <c r="S4" s="20">
        <v>72000</v>
      </c>
      <c r="T4" s="35">
        <v>44671</v>
      </c>
      <c r="U4" s="3">
        <v>12</v>
      </c>
      <c r="V4" s="20">
        <f t="shared" ref="V4:V20" si="2">S4*(1-VLOOKUP(QUOTIENT(EDATE(T4,U4)-$V$1,30),$O$17:$P$20,2,TRUE))</f>
        <v>50400</v>
      </c>
    </row>
    <row r="5" spans="1:22">
      <c r="A5" s="1" t="s">
        <v>12</v>
      </c>
      <c r="B5" s="1" t="s">
        <v>179</v>
      </c>
      <c r="C5" s="13" t="s">
        <v>155</v>
      </c>
      <c r="D5" s="10" t="s">
        <v>167</v>
      </c>
      <c r="E5" s="20">
        <f t="shared" si="0"/>
        <v>3808000</v>
      </c>
      <c r="F5" s="34">
        <f>E5*INDEX($D$17:$F$20,MATCH(C5,$A$17:$A$20,0),MATCH(D5,{"경영","전산","총무"},1))</f>
        <v>380800</v>
      </c>
      <c r="H5" s="27" t="s">
        <v>134</v>
      </c>
      <c r="I5" s="27">
        <v>91</v>
      </c>
      <c r="J5" s="27">
        <v>62</v>
      </c>
      <c r="K5" s="27">
        <v>70</v>
      </c>
      <c r="L5" s="27">
        <v>82</v>
      </c>
      <c r="M5" s="33">
        <f t="shared" si="1"/>
        <v>305</v>
      </c>
      <c r="R5" s="4" t="s">
        <v>195</v>
      </c>
      <c r="S5" s="20">
        <v>200000</v>
      </c>
      <c r="T5" s="35">
        <v>44586</v>
      </c>
      <c r="U5" s="3">
        <v>18</v>
      </c>
      <c r="V5" s="20">
        <f t="shared" si="2"/>
        <v>140000</v>
      </c>
    </row>
    <row r="6" spans="1:22">
      <c r="A6" s="1" t="s">
        <v>8</v>
      </c>
      <c r="B6" s="1" t="s">
        <v>180</v>
      </c>
      <c r="C6" s="13" t="s">
        <v>108</v>
      </c>
      <c r="D6" s="10" t="s">
        <v>163</v>
      </c>
      <c r="E6" s="20">
        <f t="shared" si="0"/>
        <v>2217600</v>
      </c>
      <c r="F6" s="34">
        <f>E6*INDEX($D$17:$F$20,MATCH(C6,$A$17:$A$20,0),MATCH(D6,{"경영","전산","총무"},1))</f>
        <v>177408</v>
      </c>
      <c r="H6" s="27" t="s">
        <v>135</v>
      </c>
      <c r="I6" s="27">
        <v>92</v>
      </c>
      <c r="J6" s="27">
        <v>90</v>
      </c>
      <c r="K6" s="27">
        <v>78</v>
      </c>
      <c r="L6" s="27">
        <v>85</v>
      </c>
      <c r="M6" s="33">
        <f t="shared" si="1"/>
        <v>345</v>
      </c>
      <c r="O6" s="49" t="s">
        <v>229</v>
      </c>
      <c r="P6" s="50"/>
      <c r="R6" s="4" t="s">
        <v>188</v>
      </c>
      <c r="S6" s="20">
        <v>35000</v>
      </c>
      <c r="T6" s="35">
        <v>44559</v>
      </c>
      <c r="U6" s="3">
        <v>24</v>
      </c>
      <c r="V6" s="20">
        <f t="shared" si="2"/>
        <v>26250</v>
      </c>
    </row>
    <row r="7" spans="1:22">
      <c r="A7" s="1" t="s">
        <v>41</v>
      </c>
      <c r="B7" s="1" t="s">
        <v>181</v>
      </c>
      <c r="C7" s="13" t="s">
        <v>171</v>
      </c>
      <c r="D7" s="10" t="s">
        <v>166</v>
      </c>
      <c r="E7" s="20">
        <f t="shared" si="0"/>
        <v>3808000</v>
      </c>
      <c r="F7" s="34">
        <f>E7*INDEX($D$17:$F$20,MATCH(C7,$A$17:$A$20,0),MATCH(D7,{"경영","전산","총무"},1))</f>
        <v>685440</v>
      </c>
      <c r="H7" s="27" t="s">
        <v>136</v>
      </c>
      <c r="I7" s="27">
        <v>87</v>
      </c>
      <c r="J7" s="27">
        <v>85</v>
      </c>
      <c r="K7" s="27">
        <v>82</v>
      </c>
      <c r="L7" s="27">
        <v>70</v>
      </c>
      <c r="M7" s="33">
        <f t="shared" si="1"/>
        <v>324</v>
      </c>
      <c r="O7" s="50"/>
      <c r="P7" s="50"/>
      <c r="R7" s="4" t="s">
        <v>196</v>
      </c>
      <c r="S7" s="20">
        <v>70000</v>
      </c>
      <c r="T7" s="35">
        <v>44500</v>
      </c>
      <c r="U7" s="3">
        <v>18</v>
      </c>
      <c r="V7" s="20">
        <f t="shared" si="2"/>
        <v>49000</v>
      </c>
    </row>
    <row r="8" spans="1:22">
      <c r="A8" s="10" t="s">
        <v>1</v>
      </c>
      <c r="B8" s="10" t="s">
        <v>182</v>
      </c>
      <c r="C8" s="13" t="s">
        <v>157</v>
      </c>
      <c r="D8" s="10" t="s">
        <v>163</v>
      </c>
      <c r="E8" s="20">
        <f t="shared" si="0"/>
        <v>3091200</v>
      </c>
      <c r="F8" s="34">
        <f>E8*INDEX($D$17:$F$20,MATCH(C8,$A$17:$A$20,0),MATCH(D8,{"경영","전산","총무"},1))</f>
        <v>293664</v>
      </c>
      <c r="H8" s="27" t="s">
        <v>137</v>
      </c>
      <c r="I8" s="5">
        <v>78</v>
      </c>
      <c r="J8" s="27">
        <v>68</v>
      </c>
      <c r="K8" s="27">
        <v>78</v>
      </c>
      <c r="L8" s="27">
        <v>91</v>
      </c>
      <c r="M8" s="33">
        <f t="shared" si="1"/>
        <v>315</v>
      </c>
      <c r="O8" s="45" t="str">
        <f>INDEX(H3:H20,MATCH(MIN(J3:J20),J3:J20,0),1)</f>
        <v>김선주</v>
      </c>
      <c r="P8" s="46"/>
      <c r="R8" s="4" t="s">
        <v>189</v>
      </c>
      <c r="S8" s="20">
        <v>100000</v>
      </c>
      <c r="T8" s="35">
        <v>44576</v>
      </c>
      <c r="U8" s="3">
        <v>24</v>
      </c>
      <c r="V8" s="20">
        <f t="shared" si="2"/>
        <v>75000</v>
      </c>
    </row>
    <row r="9" spans="1:22">
      <c r="A9" s="10" t="s">
        <v>3</v>
      </c>
      <c r="B9" s="10" t="s">
        <v>183</v>
      </c>
      <c r="C9" s="13" t="s">
        <v>158</v>
      </c>
      <c r="D9" s="10" t="s">
        <v>163</v>
      </c>
      <c r="E9" s="20">
        <f t="shared" si="0"/>
        <v>3808000</v>
      </c>
      <c r="F9" s="34">
        <f>E9*INDEX($D$17:$F$20,MATCH(C9,$A$17:$A$20,0),MATCH(D9,{"경영","전산","총무"},1))</f>
        <v>476000</v>
      </c>
      <c r="H9" s="27" t="s">
        <v>138</v>
      </c>
      <c r="I9" s="5">
        <v>77</v>
      </c>
      <c r="J9" s="27">
        <v>78</v>
      </c>
      <c r="K9" s="27">
        <v>82</v>
      </c>
      <c r="L9" s="27">
        <v>91</v>
      </c>
      <c r="M9" s="33">
        <f t="shared" si="1"/>
        <v>328</v>
      </c>
      <c r="R9" s="4" t="s">
        <v>190</v>
      </c>
      <c r="S9" s="20">
        <v>35000</v>
      </c>
      <c r="T9" s="35">
        <v>44597</v>
      </c>
      <c r="U9" s="3">
        <v>24</v>
      </c>
      <c r="V9" s="20">
        <f t="shared" si="2"/>
        <v>26250</v>
      </c>
    </row>
    <row r="10" spans="1:22">
      <c r="A10" s="10" t="s">
        <v>4</v>
      </c>
      <c r="B10" s="10" t="s">
        <v>180</v>
      </c>
      <c r="C10" s="13" t="s">
        <v>159</v>
      </c>
      <c r="D10" s="10" t="s">
        <v>167</v>
      </c>
      <c r="E10" s="20">
        <f t="shared" si="0"/>
        <v>2217600</v>
      </c>
      <c r="F10" s="34">
        <f>E10*INDEX($D$17:$F$20,MATCH(C10,$A$17:$A$20,0),MATCH(D10,{"경영","전산","총무"},1))</f>
        <v>155232.00000000003</v>
      </c>
      <c r="H10" s="27" t="s">
        <v>139</v>
      </c>
      <c r="I10" s="5">
        <v>77</v>
      </c>
      <c r="J10" s="27">
        <v>78</v>
      </c>
      <c r="K10" s="27">
        <v>76</v>
      </c>
      <c r="L10" s="27">
        <v>80</v>
      </c>
      <c r="M10" s="33">
        <f t="shared" si="1"/>
        <v>311</v>
      </c>
      <c r="R10" s="4" t="s">
        <v>197</v>
      </c>
      <c r="S10" s="20">
        <v>62000</v>
      </c>
      <c r="T10" s="35">
        <v>44550</v>
      </c>
      <c r="U10" s="3">
        <v>18</v>
      </c>
      <c r="V10" s="20">
        <f t="shared" si="2"/>
        <v>43400</v>
      </c>
    </row>
    <row r="11" spans="1:22">
      <c r="A11" s="10" t="s">
        <v>0</v>
      </c>
      <c r="B11" s="10" t="s">
        <v>184</v>
      </c>
      <c r="C11" s="13" t="s">
        <v>160</v>
      </c>
      <c r="D11" s="10" t="s">
        <v>168</v>
      </c>
      <c r="E11" s="20">
        <f t="shared" si="0"/>
        <v>1624000</v>
      </c>
      <c r="F11" s="34">
        <f>E11*INDEX($D$17:$F$20,MATCH(C11,$A$17:$A$20,0),MATCH(D11,{"경영","전산","총무"},1))</f>
        <v>64960</v>
      </c>
      <c r="H11" s="27" t="s">
        <v>140</v>
      </c>
      <c r="I11" s="5">
        <v>96</v>
      </c>
      <c r="J11" s="27">
        <v>82</v>
      </c>
      <c r="K11" s="27">
        <v>78</v>
      </c>
      <c r="L11" s="27">
        <v>56</v>
      </c>
      <c r="M11" s="33">
        <f t="shared" si="1"/>
        <v>312</v>
      </c>
      <c r="R11" s="4" t="s">
        <v>198</v>
      </c>
      <c r="S11" s="20">
        <v>80000</v>
      </c>
      <c r="T11" s="35">
        <v>44665</v>
      </c>
      <c r="U11" s="3">
        <v>24</v>
      </c>
      <c r="V11" s="20">
        <f t="shared" si="2"/>
        <v>60000</v>
      </c>
    </row>
    <row r="12" spans="1:22">
      <c r="A12" s="10" t="s">
        <v>6</v>
      </c>
      <c r="B12" s="10" t="s">
        <v>185</v>
      </c>
      <c r="C12" s="13" t="s">
        <v>107</v>
      </c>
      <c r="D12" s="10" t="s">
        <v>169</v>
      </c>
      <c r="E12" s="20">
        <f t="shared" si="0"/>
        <v>2217600</v>
      </c>
      <c r="F12" s="34">
        <f>E12*INDEX($D$17:$F$20,MATCH(C12,$A$17:$A$20,0),MATCH(D12,{"경영","전산","총무"},1))</f>
        <v>266112</v>
      </c>
      <c r="H12" s="27" t="s">
        <v>141</v>
      </c>
      <c r="I12" s="5">
        <v>84</v>
      </c>
      <c r="J12" s="27">
        <v>78</v>
      </c>
      <c r="K12" s="27">
        <v>69</v>
      </c>
      <c r="L12" s="27">
        <v>70</v>
      </c>
      <c r="M12" s="33">
        <f t="shared" si="1"/>
        <v>301</v>
      </c>
      <c r="R12" s="4" t="s">
        <v>199</v>
      </c>
      <c r="S12" s="20">
        <v>30000</v>
      </c>
      <c r="T12" s="35">
        <v>44534</v>
      </c>
      <c r="U12" s="36">
        <v>24</v>
      </c>
      <c r="V12" s="20">
        <f t="shared" si="2"/>
        <v>22500</v>
      </c>
    </row>
    <row r="13" spans="1:22">
      <c r="A13" s="5" t="s">
        <v>23</v>
      </c>
      <c r="B13" s="10" t="s">
        <v>186</v>
      </c>
      <c r="C13" s="13" t="s">
        <v>157</v>
      </c>
      <c r="D13" s="10" t="s">
        <v>163</v>
      </c>
      <c r="E13" s="20">
        <f t="shared" si="0"/>
        <v>3091200</v>
      </c>
      <c r="F13" s="34">
        <f>E13*INDEX($D$17:$F$20,MATCH(C13,$A$17:$A$20,0),MATCH(D13,{"경영","전산","총무"},1))</f>
        <v>293664</v>
      </c>
      <c r="H13" s="27" t="s">
        <v>142</v>
      </c>
      <c r="I13" s="5">
        <v>75</v>
      </c>
      <c r="J13" s="27">
        <v>79</v>
      </c>
      <c r="K13" s="27">
        <v>82</v>
      </c>
      <c r="L13" s="27">
        <v>82</v>
      </c>
      <c r="M13" s="33">
        <f t="shared" si="1"/>
        <v>318</v>
      </c>
      <c r="R13" s="4" t="s">
        <v>200</v>
      </c>
      <c r="S13" s="20">
        <v>120000</v>
      </c>
      <c r="T13" s="35">
        <v>44671</v>
      </c>
      <c r="U13" s="3">
        <v>12</v>
      </c>
      <c r="V13" s="20">
        <f t="shared" si="2"/>
        <v>84000</v>
      </c>
    </row>
    <row r="14" spans="1:22">
      <c r="F14" s="16"/>
      <c r="H14" s="27" t="s">
        <v>143</v>
      </c>
      <c r="I14" s="5">
        <v>72</v>
      </c>
      <c r="J14" s="27">
        <v>92</v>
      </c>
      <c r="K14" s="27">
        <v>95</v>
      </c>
      <c r="L14" s="27">
        <v>90</v>
      </c>
      <c r="M14" s="33">
        <f t="shared" si="1"/>
        <v>349</v>
      </c>
      <c r="R14" s="4" t="s">
        <v>191</v>
      </c>
      <c r="S14" s="20">
        <v>35000</v>
      </c>
      <c r="T14" s="35">
        <v>44487</v>
      </c>
      <c r="U14" s="3">
        <v>18</v>
      </c>
      <c r="V14" s="20">
        <f t="shared" si="2"/>
        <v>24500</v>
      </c>
    </row>
    <row r="15" spans="1:22">
      <c r="A15" s="8" t="s">
        <v>206</v>
      </c>
      <c r="B15" s="44" t="s">
        <v>237</v>
      </c>
      <c r="F15" s="16"/>
      <c r="H15" s="27" t="s">
        <v>144</v>
      </c>
      <c r="I15" s="5">
        <v>88</v>
      </c>
      <c r="J15" s="27">
        <v>95</v>
      </c>
      <c r="K15" s="27">
        <v>89</v>
      </c>
      <c r="L15" s="27">
        <v>82</v>
      </c>
      <c r="M15" s="33">
        <f t="shared" si="1"/>
        <v>354</v>
      </c>
      <c r="O15" t="s">
        <v>209</v>
      </c>
      <c r="R15" s="4" t="s">
        <v>192</v>
      </c>
      <c r="S15" s="20">
        <v>40000</v>
      </c>
      <c r="T15" s="35">
        <v>44560</v>
      </c>
      <c r="U15" s="3">
        <v>24</v>
      </c>
      <c r="V15" s="20">
        <f t="shared" si="2"/>
        <v>30000</v>
      </c>
    </row>
    <row r="16" spans="1:22">
      <c r="A16" s="40" t="s">
        <v>236</v>
      </c>
      <c r="B16" s="39" t="s">
        <v>172</v>
      </c>
      <c r="C16" s="41" t="s">
        <v>173</v>
      </c>
      <c r="D16" s="39" t="s">
        <v>162</v>
      </c>
      <c r="E16" s="39" t="s">
        <v>165</v>
      </c>
      <c r="F16" s="39" t="s">
        <v>170</v>
      </c>
      <c r="H16" s="27" t="s">
        <v>145</v>
      </c>
      <c r="I16" s="5">
        <v>92</v>
      </c>
      <c r="J16" s="27">
        <v>68</v>
      </c>
      <c r="K16" s="27">
        <v>77</v>
      </c>
      <c r="L16" s="27">
        <v>75</v>
      </c>
      <c r="M16" s="33">
        <f t="shared" si="1"/>
        <v>312</v>
      </c>
      <c r="O16" s="39" t="s">
        <v>214</v>
      </c>
      <c r="P16" s="39" t="s">
        <v>187</v>
      </c>
      <c r="R16" s="4" t="s">
        <v>201</v>
      </c>
      <c r="S16" s="20">
        <v>172000</v>
      </c>
      <c r="T16" s="35">
        <v>44530</v>
      </c>
      <c r="U16" s="3">
        <v>18</v>
      </c>
      <c r="V16" s="20">
        <f t="shared" si="2"/>
        <v>120399.99999999999</v>
      </c>
    </row>
    <row r="17" spans="1:22">
      <c r="A17" s="41" t="s">
        <v>154</v>
      </c>
      <c r="B17" s="20">
        <v>1450000</v>
      </c>
      <c r="C17" s="20">
        <v>174000</v>
      </c>
      <c r="D17" s="29">
        <v>0.05</v>
      </c>
      <c r="E17" s="29">
        <v>0.08</v>
      </c>
      <c r="F17" s="29">
        <v>0.04</v>
      </c>
      <c r="H17" s="27" t="s">
        <v>146</v>
      </c>
      <c r="I17" s="5">
        <v>84</v>
      </c>
      <c r="J17" s="27">
        <v>52</v>
      </c>
      <c r="K17" s="27">
        <v>67</v>
      </c>
      <c r="L17" s="27">
        <v>87</v>
      </c>
      <c r="M17" s="33">
        <f t="shared" si="1"/>
        <v>290</v>
      </c>
      <c r="O17" s="10">
        <v>1</v>
      </c>
      <c r="P17" s="42">
        <v>0.3</v>
      </c>
      <c r="R17" s="4" t="s">
        <v>202</v>
      </c>
      <c r="S17" s="20">
        <v>160000</v>
      </c>
      <c r="T17" s="35">
        <v>44500</v>
      </c>
      <c r="U17" s="3">
        <v>24</v>
      </c>
      <c r="V17" s="20">
        <f t="shared" si="2"/>
        <v>120000</v>
      </c>
    </row>
    <row r="18" spans="1:22">
      <c r="A18" s="41" t="s">
        <v>108</v>
      </c>
      <c r="B18" s="20">
        <v>1980000</v>
      </c>
      <c r="C18" s="20">
        <v>237600</v>
      </c>
      <c r="D18" s="29">
        <v>0.08</v>
      </c>
      <c r="E18" s="29">
        <v>0.12</v>
      </c>
      <c r="F18" s="29">
        <v>7.0000000000000007E-2</v>
      </c>
      <c r="H18" s="27" t="s">
        <v>147</v>
      </c>
      <c r="I18" s="5">
        <v>97</v>
      </c>
      <c r="J18" s="27">
        <v>89</v>
      </c>
      <c r="K18" s="27">
        <v>88</v>
      </c>
      <c r="L18" s="27">
        <v>77</v>
      </c>
      <c r="M18" s="33">
        <f t="shared" si="1"/>
        <v>351</v>
      </c>
      <c r="O18" s="10">
        <v>8</v>
      </c>
      <c r="P18" s="42">
        <v>0.25</v>
      </c>
      <c r="R18" s="4" t="s">
        <v>203</v>
      </c>
      <c r="S18" s="20">
        <v>53000</v>
      </c>
      <c r="T18" s="35">
        <v>44669</v>
      </c>
      <c r="U18" s="3">
        <v>24</v>
      </c>
      <c r="V18" s="20">
        <f t="shared" si="2"/>
        <v>39750</v>
      </c>
    </row>
    <row r="19" spans="1:22">
      <c r="A19" s="41" t="s">
        <v>156</v>
      </c>
      <c r="B19" s="20">
        <v>2760000</v>
      </c>
      <c r="C19" s="20">
        <v>331200</v>
      </c>
      <c r="D19" s="29">
        <v>9.5000000000000001E-2</v>
      </c>
      <c r="E19" s="29">
        <v>0.14000000000000001</v>
      </c>
      <c r="F19" s="29">
        <v>0.09</v>
      </c>
      <c r="H19" s="27" t="s">
        <v>148</v>
      </c>
      <c r="I19" s="5">
        <v>88</v>
      </c>
      <c r="J19" s="27">
        <v>69</v>
      </c>
      <c r="K19" s="27">
        <v>72</v>
      </c>
      <c r="L19" s="27">
        <v>68</v>
      </c>
      <c r="M19" s="33">
        <f t="shared" si="1"/>
        <v>297</v>
      </c>
      <c r="O19" s="10">
        <v>16</v>
      </c>
      <c r="P19" s="42">
        <v>0.2</v>
      </c>
      <c r="R19" s="4" t="s">
        <v>198</v>
      </c>
      <c r="S19" s="20">
        <v>20000</v>
      </c>
      <c r="T19" s="35">
        <v>44412</v>
      </c>
      <c r="U19" s="3">
        <v>24</v>
      </c>
      <c r="V19" s="20">
        <f t="shared" si="2"/>
        <v>14000</v>
      </c>
    </row>
    <row r="20" spans="1:22">
      <c r="A20" s="41" t="s">
        <v>155</v>
      </c>
      <c r="B20" s="20">
        <v>3400000</v>
      </c>
      <c r="C20" s="20">
        <v>408000</v>
      </c>
      <c r="D20" s="29">
        <v>0.125</v>
      </c>
      <c r="E20" s="29">
        <v>0.18</v>
      </c>
      <c r="F20" s="29">
        <v>0.1</v>
      </c>
      <c r="H20" s="27" t="s">
        <v>149</v>
      </c>
      <c r="I20" s="5">
        <v>88</v>
      </c>
      <c r="J20" s="27">
        <v>91</v>
      </c>
      <c r="K20" s="27">
        <v>78</v>
      </c>
      <c r="L20" s="27">
        <v>85</v>
      </c>
      <c r="M20" s="33">
        <f t="shared" si="1"/>
        <v>342</v>
      </c>
      <c r="O20" s="10">
        <v>30</v>
      </c>
      <c r="P20" s="42">
        <v>0.1</v>
      </c>
      <c r="R20" s="4" t="s">
        <v>192</v>
      </c>
      <c r="S20" s="20">
        <v>99000</v>
      </c>
      <c r="T20" s="35">
        <v>44634</v>
      </c>
      <c r="U20" s="3">
        <v>12</v>
      </c>
      <c r="V20" s="20">
        <f t="shared" si="2"/>
        <v>69300</v>
      </c>
    </row>
  </sheetData>
  <sortState ref="A19:A22">
    <sortCondition ref="A3"/>
  </sortState>
  <mergeCells count="4">
    <mergeCell ref="O8:P8"/>
    <mergeCell ref="O2:P3"/>
    <mergeCell ref="O6:P7"/>
    <mergeCell ref="O4:P4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참조1</vt:lpstr>
      <vt:lpstr>참조2</vt:lpstr>
      <vt:lpstr>참조3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2022-01-10T09:05:06Z</dcterms:modified>
</cp:coreProperties>
</file>